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wohealth.sharepoint.com/sites/PlanetaryHealthInterventionTeam/Shared Documents/Nitrous Oxide/Nix the Nitrous/- Toolkit/"/>
    </mc:Choice>
  </mc:AlternateContent>
  <xr:revisionPtr revIDLastSave="1388" documentId="11_E3015270050BCEB3BA4D1EBD3F6E718DCA6C43C2" xr6:coauthVersionLast="47" xr6:coauthVersionMax="47" xr10:uidLastSave="{04203C7D-6F79-4265-AB13-2D4C7CDD6A8C}"/>
  <bookViews>
    <workbookView xWindow="29190" yWindow="165" windowWidth="25980" windowHeight="15450" xr2:uid="{00000000-000D-0000-FFFF-FFFF00000000}"/>
  </bookViews>
  <sheets>
    <sheet name="Current Annual Costs" sheetId="2" r:id="rId1"/>
    <sheet name="Decommissioning Cost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I10" i="2" s="1"/>
  <c r="G20" i="1"/>
  <c r="G21" i="1"/>
  <c r="G22" i="1"/>
  <c r="G18" i="1"/>
  <c r="I20" i="1"/>
  <c r="H20" i="1"/>
  <c r="E20" i="1"/>
  <c r="D20" i="1"/>
  <c r="C20" i="1"/>
  <c r="J1" i="1"/>
  <c r="G17" i="2"/>
  <c r="E17" i="2"/>
  <c r="D17" i="2"/>
  <c r="C17" i="2"/>
  <c r="H21" i="1"/>
  <c r="H22" i="1"/>
  <c r="H18" i="1"/>
  <c r="C22" i="2"/>
  <c r="C26" i="2" s="1"/>
  <c r="C25" i="2" l="1"/>
  <c r="C28" i="2" s="1"/>
  <c r="I9" i="2" s="1"/>
  <c r="G18" i="2"/>
  <c r="G19" i="2"/>
  <c r="D18" i="2"/>
  <c r="D19" i="2"/>
  <c r="E18" i="2"/>
  <c r="E19" i="2"/>
  <c r="C18" i="2"/>
  <c r="C19" i="2"/>
  <c r="D16" i="2"/>
  <c r="E16" i="2"/>
  <c r="C16" i="2"/>
  <c r="C43" i="2"/>
  <c r="C44" i="2" s="1"/>
  <c r="C29" i="2" l="1"/>
  <c r="F18" i="2"/>
  <c r="H18" i="2" s="1"/>
  <c r="F17" i="2"/>
  <c r="H17" i="2" s="1"/>
  <c r="F16" i="2"/>
  <c r="F19" i="2"/>
  <c r="H19" i="2" s="1"/>
  <c r="G16" i="2"/>
  <c r="H16" i="2" s="1"/>
  <c r="I8" i="2" s="1"/>
  <c r="I11" i="2" s="1"/>
  <c r="C22" i="1"/>
  <c r="E22" i="1"/>
  <c r="D22" i="1"/>
  <c r="I22" i="1"/>
  <c r="I21" i="1" l="1"/>
  <c r="I18" i="1"/>
  <c r="D21" i="1"/>
  <c r="E21" i="1"/>
  <c r="C21" i="1"/>
  <c r="F20" i="1"/>
  <c r="J20" i="1" s="1"/>
  <c r="D18" i="1"/>
  <c r="E18" i="1"/>
  <c r="C18" i="1"/>
  <c r="F21" i="1" l="1"/>
  <c r="J21" i="1" s="1"/>
  <c r="F22" i="1"/>
  <c r="J22" i="1" s="1"/>
  <c r="F18" i="1"/>
  <c r="J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Apostol</author>
  </authors>
  <commentList>
    <comment ref="B37" authorId="0" shapeId="0" xr:uid="{BCEE38D4-2E34-400E-B728-9A54BBEEC815}">
      <text>
        <r>
          <rPr>
            <sz val="9"/>
            <color indexed="81"/>
            <rFont val="Tahoma"/>
            <family val="2"/>
          </rPr>
          <t>Modify as necessary</t>
        </r>
      </text>
    </comment>
    <comment ref="C44" authorId="0" shapeId="0" xr:uid="{018C37A5-1C59-DA4D-A307-7A405160B05A}">
      <text>
        <r>
          <rPr>
            <sz val="10"/>
            <color rgb="FF000000"/>
            <rFont val="+mn-lt"/>
            <charset val="1"/>
          </rPr>
          <t>Note it may make more sense to consider the full cost instead of the amortized cost for your specific business cases especially if it's coming up soon.</t>
        </r>
      </text>
    </comment>
    <comment ref="C46" authorId="0" shapeId="0" xr:uid="{79EFC91C-348F-C949-B6D0-38A6EF721891}">
      <text>
        <r>
          <rPr>
            <sz val="10"/>
            <color rgb="FF000000"/>
            <rFont val="+mn-lt"/>
            <charset val="1"/>
          </rPr>
          <t xml:space="preserve">This is just an approximate average for estimation purposes. 
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+mn-lt"/>
            <charset val="1"/>
          </rPr>
          <t>Note that manifold repairs can quickly run into the $thousands and a complete manifold replacement can be $15k-$30k.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Apostol</author>
  </authors>
  <commentList>
    <comment ref="C28" authorId="0" shapeId="0" xr:uid="{67ED87F8-E7CD-3A46-AABE-4235118C4BEA}">
      <text>
        <r>
          <rPr>
            <sz val="10"/>
            <color rgb="FF000000"/>
            <rFont val="+mn-lt"/>
            <charset val="1"/>
          </rPr>
          <t>Average time for locating, labeling and adding a plug. Increase if removing terminal unit and putting a plate over.</t>
        </r>
      </text>
    </comment>
    <comment ref="C30" authorId="0" shapeId="0" xr:uid="{59E463AB-0657-CC48-BE15-4833AB8A1979}">
      <text>
        <r>
          <rPr>
            <sz val="10"/>
            <color rgb="FF000000"/>
            <rFont val="+mn-lt"/>
            <charset val="1"/>
          </rPr>
          <t>If completely removing and dismantling, budget more time.</t>
        </r>
      </text>
    </comment>
    <comment ref="C31" authorId="0" shapeId="0" xr:uid="{C5C7FFFB-390E-4C4D-965B-343006255FBA}">
      <text>
        <r>
          <rPr>
            <sz val="10"/>
            <color rgb="FF000000"/>
            <rFont val="+mn-lt"/>
            <charset val="1"/>
          </rPr>
          <t>Time includes removal of guage and valve</t>
        </r>
        <r>
          <rPr>
            <sz val="10"/>
            <color rgb="FF000000"/>
            <rFont val="+mn-lt"/>
            <charset val="1"/>
          </rPr>
          <t>. Removal of gauge is not required though.</t>
        </r>
      </text>
    </comment>
  </commentList>
</comments>
</file>

<file path=xl/sharedStrings.xml><?xml version="1.0" encoding="utf-8"?>
<sst xmlns="http://schemas.openxmlformats.org/spreadsheetml/2006/main" count="133" uniqueCount="93">
  <si>
    <t xml:space="preserve">Internal Labour Cost </t>
  </si>
  <si>
    <t>Time for terminal unit</t>
  </si>
  <si>
    <t>minutes/outlet</t>
  </si>
  <si>
    <t>minutes</t>
  </si>
  <si>
    <t>Zone Valve Disabling</t>
  </si>
  <si>
    <t>Outlet Plate/Plug</t>
  </si>
  <si>
    <t>/plate&amp;plug</t>
  </si>
  <si>
    <t>N2O e-size tank</t>
  </si>
  <si>
    <t>Regulator</t>
  </si>
  <si>
    <t>Dolly</t>
  </si>
  <si>
    <t>Spare tank holder</t>
  </si>
  <si>
    <t>Site</t>
  </si>
  <si>
    <t>Terminal Units</t>
  </si>
  <si>
    <t>Alarm Panels</t>
  </si>
  <si>
    <t>Zone Valves</t>
  </si>
  <si>
    <t>Manifolds</t>
  </si>
  <si>
    <t>Nitronox Carts</t>
  </si>
  <si>
    <t>Example Site 1 - Large</t>
  </si>
  <si>
    <t>Example Site 2 - Medium</t>
  </si>
  <si>
    <t>Example Site 3 - Small</t>
  </si>
  <si>
    <t>Cost</t>
  </si>
  <si>
    <t>Total Decomissioning Cost</t>
  </si>
  <si>
    <t>Typical Maintenance Audit Costs</t>
  </si>
  <si>
    <t>per</t>
  </si>
  <si>
    <t>Terminal Unit</t>
  </si>
  <si>
    <t>Zone Alarm</t>
  </si>
  <si>
    <t>Manifold Compliance</t>
  </si>
  <si>
    <t>3x Pressure relief devices</t>
  </si>
  <si>
    <t>per year amortized</t>
  </si>
  <si>
    <t>Repair requirements</t>
  </si>
  <si>
    <t>Failure rate</t>
  </si>
  <si>
    <t>Repairs</t>
  </si>
  <si>
    <t>per repair</t>
  </si>
  <si>
    <t>annually</t>
  </si>
  <si>
    <t>Maintenance Assumptions</t>
  </si>
  <si>
    <t>Cost per litre</t>
  </si>
  <si>
    <t>Leakage Rate</t>
  </si>
  <si>
    <t>Leakage Cost</t>
  </si>
  <si>
    <t>litres</t>
  </si>
  <si>
    <t>litres / tank</t>
  </si>
  <si>
    <t>litres per size 44 tank</t>
  </si>
  <si>
    <t>Anesthesia Cart Retrofits</t>
  </si>
  <si>
    <t>Anesthesia Cart Retrofit</t>
  </si>
  <si>
    <t>if applicable</t>
  </si>
  <si>
    <t>Some hospitals do environmental audits, some do not.</t>
  </si>
  <si>
    <t>kgCO2e per year from leakage</t>
  </si>
  <si>
    <t>Environmental Cost</t>
  </si>
  <si>
    <t>Your Site - Customize</t>
  </si>
  <si>
    <t>Input your data in green cells</t>
  </si>
  <si>
    <t>N2O Purchased</t>
  </si>
  <si>
    <t>leakage (typical)</t>
  </si>
  <si>
    <t>every 5 years</t>
  </si>
  <si>
    <t>Values are for guidance only and may differ greatly at your site. Adjust assumptions and variables as desired.</t>
  </si>
  <si>
    <t>Decommissioning Assumption and Variables</t>
  </si>
  <si>
    <t>Standard Costs</t>
  </si>
  <si>
    <r>
      <t xml:space="preserve">Portable Tank Change - </t>
    </r>
    <r>
      <rPr>
        <sz val="11"/>
        <color theme="1"/>
        <rFont val="Calibri"/>
        <family val="2"/>
        <scheme val="minor"/>
      </rPr>
      <t>if applicable</t>
    </r>
  </si>
  <si>
    <t>Tanks Purchased</t>
  </si>
  <si>
    <t>tanks (size 44) per year</t>
  </si>
  <si>
    <t>per litre</t>
  </si>
  <si>
    <t>per tank (size 44)</t>
  </si>
  <si>
    <t>per year</t>
  </si>
  <si>
    <t>Nitronox Cart Replacement</t>
  </si>
  <si>
    <t># of Audits</t>
  </si>
  <si>
    <t>Cost per Audit</t>
  </si>
  <si>
    <t>Total Annual Cost</t>
  </si>
  <si>
    <t>per audit</t>
  </si>
  <si>
    <t>Audit Costs</t>
  </si>
  <si>
    <t>Manifold Disabling</t>
  </si>
  <si>
    <t>Reach out to your local med-gas maintenance to provide a quote if not doing internally.</t>
  </si>
  <si>
    <t>Review your med-gas service contract and maintenance costs for more accurate site-specific costs.</t>
  </si>
  <si>
    <t>Estimated Decommissioning &amp; Transition to Point-of-Care Delivery Cost</t>
  </si>
  <si>
    <t>Estimated Annual Cost of Nitrous Oxide System - Maintenance &amp; N2O Leakage</t>
  </si>
  <si>
    <t>N2O System Size for Maintenance Cost Estimation</t>
  </si>
  <si>
    <t>per hour</t>
  </si>
  <si>
    <t>Portable 
E-tanks</t>
  </si>
  <si>
    <t>Replacement 
E-tanks</t>
  </si>
  <si>
    <t>Your Site - Costs</t>
  </si>
  <si>
    <t>N2O System Size for Decommissioning and Changes Needed for Transition to Point-of-Care Delivery</t>
  </si>
  <si>
    <t>Annual Cost Summary</t>
  </si>
  <si>
    <t>Total</t>
  </si>
  <si>
    <r>
      <t xml:space="preserve">Estimated </t>
    </r>
    <r>
      <rPr>
        <b/>
        <u/>
        <sz val="16"/>
        <color theme="1"/>
        <rFont val="Calibri (Body)"/>
      </rPr>
      <t>Internal</t>
    </r>
    <r>
      <rPr>
        <b/>
        <sz val="16"/>
        <color theme="1"/>
        <rFont val="Calibri"/>
        <family val="2"/>
        <scheme val="minor"/>
      </rPr>
      <t xml:space="preserve"> Cost of Decomissioning Nitrous Oxide System </t>
    </r>
  </si>
  <si>
    <t>&amp; Transition to Point-of-Care Delivery</t>
  </si>
  <si>
    <t>Ver. 2025-07-23</t>
  </si>
  <si>
    <r>
      <t xml:space="preserve">Your Site - </t>
    </r>
    <r>
      <rPr>
        <b/>
        <i/>
        <sz val="11"/>
        <color theme="1"/>
        <rFont val="Calibri"/>
        <family val="2"/>
        <scheme val="minor"/>
      </rPr>
      <t>Customize</t>
    </r>
  </si>
  <si>
    <t>audits per year</t>
  </si>
  <si>
    <t>1. Audit &amp; Repairs</t>
  </si>
  <si>
    <t>2. N2O Leakage</t>
  </si>
  <si>
    <t>2. N2O Gas Annual Leakage Cost</t>
  </si>
  <si>
    <t>3. N2O Occupational Health &amp; Safety Audit</t>
  </si>
  <si>
    <t>1. Estimated N2O Annual Audit and Repair Costs</t>
  </si>
  <si>
    <t>Your Site (N2O only)</t>
  </si>
  <si>
    <t>Alarm Disabling</t>
  </si>
  <si>
    <t>3. Occ. Health Audits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</si>
</sst>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0.00000"/>
    <numFmt numFmtId="168" formatCode="_-* #,##0_-;\-* #,##0_-;_-* &quot;-&quot;??_-;_-@_-"/>
    <numFmt numFmtId="169" formatCode="_(&quot;$&quot;* #,##0.0000_);_(&quot;$&quot;* \(#,##0.00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+mn-lt"/>
      <charset val="1"/>
    </font>
    <font>
      <b/>
      <u/>
      <sz val="16"/>
      <color theme="1"/>
      <name val="Calibri (Body)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165" fontId="0" fillId="0" borderId="0" xfId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166" fontId="0" fillId="0" borderId="1" xfId="1" applyNumberFormat="1" applyFont="1" applyBorder="1"/>
    <xf numFmtId="166" fontId="0" fillId="0" borderId="4" xfId="1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166" fontId="0" fillId="0" borderId="6" xfId="1" applyNumberFormat="1" applyFont="1" applyBorder="1"/>
    <xf numFmtId="0" fontId="0" fillId="0" borderId="14" xfId="0" applyBorder="1"/>
    <xf numFmtId="0" fontId="3" fillId="0" borderId="0" xfId="0" applyFont="1"/>
    <xf numFmtId="0" fontId="0" fillId="0" borderId="19" xfId="0" applyBorder="1"/>
    <xf numFmtId="0" fontId="0" fillId="0" borderId="20" xfId="0" applyBorder="1"/>
    <xf numFmtId="0" fontId="0" fillId="0" borderId="21" xfId="0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166" fontId="0" fillId="0" borderId="24" xfId="1" applyNumberFormat="1" applyFont="1" applyBorder="1"/>
    <xf numFmtId="166" fontId="0" fillId="0" borderId="3" xfId="1" applyNumberFormat="1" applyFont="1" applyBorder="1"/>
    <xf numFmtId="166" fontId="0" fillId="0" borderId="27" xfId="1" applyNumberFormat="1" applyFont="1" applyBorder="1"/>
    <xf numFmtId="166" fontId="0" fillId="0" borderId="28" xfId="1" applyNumberFormat="1" applyFont="1" applyBorder="1"/>
    <xf numFmtId="166" fontId="0" fillId="0" borderId="29" xfId="1" applyNumberFormat="1" applyFont="1" applyBorder="1"/>
    <xf numFmtId="167" fontId="0" fillId="0" borderId="0" xfId="0" applyNumberFormat="1"/>
    <xf numFmtId="6" fontId="0" fillId="0" borderId="0" xfId="0" applyNumberFormat="1"/>
    <xf numFmtId="0" fontId="0" fillId="0" borderId="30" xfId="0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0" fontId="0" fillId="0" borderId="22" xfId="0" applyBorder="1"/>
    <xf numFmtId="0" fontId="0" fillId="0" borderId="28" xfId="0" applyBorder="1"/>
    <xf numFmtId="0" fontId="0" fillId="0" borderId="29" xfId="0" applyBorder="1"/>
    <xf numFmtId="166" fontId="0" fillId="0" borderId="7" xfId="1" applyNumberFormat="1" applyFont="1" applyBorder="1"/>
    <xf numFmtId="166" fontId="0" fillId="0" borderId="5" xfId="1" applyNumberFormat="1" applyFont="1" applyBorder="1"/>
    <xf numFmtId="164" fontId="0" fillId="0" borderId="31" xfId="0" applyNumberFormat="1" applyBorder="1"/>
    <xf numFmtId="0" fontId="0" fillId="4" borderId="34" xfId="0" applyFill="1" applyBorder="1"/>
    <xf numFmtId="0" fontId="0" fillId="4" borderId="33" xfId="0" applyFill="1" applyBorder="1"/>
    <xf numFmtId="166" fontId="0" fillId="4" borderId="33" xfId="1" applyNumberFormat="1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37" xfId="0" applyBorder="1"/>
    <xf numFmtId="165" fontId="0" fillId="0" borderId="0" xfId="1" applyFont="1" applyBorder="1"/>
    <xf numFmtId="0" fontId="0" fillId="0" borderId="39" xfId="0" applyBorder="1"/>
    <xf numFmtId="0" fontId="0" fillId="0" borderId="38" xfId="0" applyBorder="1" applyAlignment="1">
      <alignment horizontal="right"/>
    </xf>
    <xf numFmtId="166" fontId="0" fillId="0" borderId="0" xfId="1" applyNumberFormat="1" applyFont="1" applyBorder="1"/>
    <xf numFmtId="0" fontId="0" fillId="0" borderId="40" xfId="0" applyBorder="1" applyAlignment="1">
      <alignment horizontal="right"/>
    </xf>
    <xf numFmtId="9" fontId="0" fillId="0" borderId="41" xfId="3" applyFont="1" applyBorder="1"/>
    <xf numFmtId="0" fontId="0" fillId="0" borderId="42" xfId="0" applyBorder="1"/>
    <xf numFmtId="0" fontId="0" fillId="0" borderId="17" xfId="0" applyBorder="1"/>
    <xf numFmtId="0" fontId="0" fillId="0" borderId="40" xfId="0" applyBorder="1"/>
    <xf numFmtId="165" fontId="0" fillId="0" borderId="41" xfId="1" applyFont="1" applyBorder="1"/>
    <xf numFmtId="166" fontId="0" fillId="0" borderId="41" xfId="1" applyNumberFormat="1" applyFont="1" applyBorder="1"/>
    <xf numFmtId="9" fontId="0" fillId="2" borderId="30" xfId="0" applyNumberFormat="1" applyFill="1" applyBorder="1"/>
    <xf numFmtId="0" fontId="0" fillId="0" borderId="36" xfId="0" applyBorder="1"/>
    <xf numFmtId="168" fontId="0" fillId="0" borderId="0" xfId="2" applyNumberFormat="1" applyFont="1" applyBorder="1"/>
    <xf numFmtId="0" fontId="0" fillId="2" borderId="0" xfId="0" applyFill="1"/>
    <xf numFmtId="6" fontId="0" fillId="2" borderId="0" xfId="0" applyNumberFormat="1" applyFill="1"/>
    <xf numFmtId="0" fontId="0" fillId="0" borderId="39" xfId="0" quotePrefix="1" applyBorder="1"/>
    <xf numFmtId="0" fontId="0" fillId="0" borderId="43" xfId="0" applyBorder="1" applyAlignment="1">
      <alignment horizontal="right"/>
    </xf>
    <xf numFmtId="0" fontId="0" fillId="0" borderId="44" xfId="0" applyBorder="1"/>
    <xf numFmtId="0" fontId="2" fillId="0" borderId="40" xfId="0" applyFont="1" applyBorder="1" applyAlignment="1">
      <alignment horizontal="right"/>
    </xf>
    <xf numFmtId="168" fontId="2" fillId="0" borderId="41" xfId="0" applyNumberFormat="1" applyFont="1" applyBorder="1"/>
    <xf numFmtId="169" fontId="0" fillId="0" borderId="0" xfId="1" applyNumberFormat="1" applyFont="1" applyBorder="1"/>
    <xf numFmtId="0" fontId="2" fillId="0" borderId="17" xfId="0" applyFont="1" applyBorder="1" applyAlignment="1">
      <alignment horizontal="center" vertical="center"/>
    </xf>
    <xf numFmtId="166" fontId="0" fillId="4" borderId="25" xfId="0" applyNumberFormat="1" applyFill="1" applyBorder="1"/>
    <xf numFmtId="164" fontId="0" fillId="4" borderId="33" xfId="0" applyNumberFormat="1" applyFill="1" applyBorder="1"/>
    <xf numFmtId="0" fontId="0" fillId="4" borderId="32" xfId="0" applyFill="1" applyBorder="1"/>
    <xf numFmtId="0" fontId="0" fillId="2" borderId="1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66" fontId="0" fillId="0" borderId="22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0" fontId="2" fillId="0" borderId="35" xfId="0" applyFont="1" applyBorder="1"/>
    <xf numFmtId="0" fontId="0" fillId="0" borderId="38" xfId="0" applyBorder="1" applyAlignment="1">
      <alignment horizontal="right" indent="2"/>
    </xf>
    <xf numFmtId="0" fontId="2" fillId="0" borderId="40" xfId="0" applyFont="1" applyBorder="1" applyAlignment="1">
      <alignment horizontal="left"/>
    </xf>
    <xf numFmtId="164" fontId="0" fillId="0" borderId="41" xfId="0" applyNumberFormat="1" applyBorder="1"/>
    <xf numFmtId="0" fontId="0" fillId="0" borderId="42" xfId="0" quotePrefix="1" applyBorder="1"/>
    <xf numFmtId="0" fontId="0" fillId="0" borderId="40" xfId="0" applyBorder="1" applyAlignment="1">
      <alignment horizontal="right" indent="2"/>
    </xf>
    <xf numFmtId="0" fontId="2" fillId="0" borderId="15" xfId="0" applyFont="1" applyBorder="1" applyAlignment="1">
      <alignment horizontal="left"/>
    </xf>
    <xf numFmtId="164" fontId="0" fillId="0" borderId="16" xfId="0" applyNumberFormat="1" applyBorder="1"/>
    <xf numFmtId="166" fontId="2" fillId="0" borderId="25" xfId="0" applyNumberFormat="1" applyFont="1" applyBorder="1"/>
    <xf numFmtId="166" fontId="2" fillId="0" borderId="26" xfId="0" applyNumberFormat="1" applyFont="1" applyBorder="1"/>
    <xf numFmtId="166" fontId="0" fillId="0" borderId="0" xfId="0" applyNumberFormat="1"/>
    <xf numFmtId="0" fontId="2" fillId="0" borderId="14" xfId="0" applyFont="1" applyBorder="1" applyAlignment="1">
      <alignment vertical="center"/>
    </xf>
    <xf numFmtId="0" fontId="0" fillId="0" borderId="0" xfId="0" quotePrefix="1"/>
    <xf numFmtId="0" fontId="0" fillId="0" borderId="41" xfId="0" applyBorder="1"/>
    <xf numFmtId="165" fontId="0" fillId="2" borderId="30" xfId="1" applyFont="1" applyFill="1" applyBorder="1"/>
    <xf numFmtId="166" fontId="2" fillId="0" borderId="11" xfId="0" applyNumberFormat="1" applyFont="1" applyBorder="1"/>
    <xf numFmtId="166" fontId="2" fillId="0" borderId="12" xfId="0" applyNumberFormat="1" applyFont="1" applyBorder="1"/>
    <xf numFmtId="0" fontId="2" fillId="5" borderId="38" xfId="0" applyFont="1" applyFill="1" applyBorder="1" applyAlignment="1">
      <alignment horizontal="right"/>
    </xf>
    <xf numFmtId="166" fontId="2" fillId="5" borderId="0" xfId="1" applyNumberFormat="1" applyFont="1" applyFill="1" applyBorder="1"/>
    <xf numFmtId="0" fontId="0" fillId="5" borderId="0" xfId="0" quotePrefix="1" applyFill="1"/>
    <xf numFmtId="165" fontId="2" fillId="5" borderId="41" xfId="0" applyNumberFormat="1" applyFont="1" applyFill="1" applyBorder="1"/>
    <xf numFmtId="0" fontId="2" fillId="5" borderId="42" xfId="0" applyFont="1" applyFill="1" applyBorder="1"/>
    <xf numFmtId="0" fontId="0" fillId="5" borderId="39" xfId="0" applyFill="1" applyBorder="1"/>
    <xf numFmtId="166" fontId="2" fillId="5" borderId="11" xfId="0" applyNumberFormat="1" applyFont="1" applyFill="1" applyBorder="1" applyAlignment="1">
      <alignment vertical="center"/>
    </xf>
    <xf numFmtId="165" fontId="0" fillId="0" borderId="19" xfId="1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8" fillId="0" borderId="0" xfId="0" applyFont="1"/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6" fontId="0" fillId="0" borderId="39" xfId="1" applyNumberFormat="1" applyFont="1" applyFill="1" applyBorder="1"/>
    <xf numFmtId="166" fontId="0" fillId="0" borderId="39" xfId="1" applyNumberFormat="1" applyFont="1" applyFill="1" applyBorder="1" applyAlignment="1">
      <alignment vertical="center"/>
    </xf>
    <xf numFmtId="166" fontId="0" fillId="0" borderId="44" xfId="1" applyNumberFormat="1" applyFont="1" applyFill="1" applyBorder="1" applyAlignment="1">
      <alignment vertical="center"/>
    </xf>
    <xf numFmtId="0" fontId="2" fillId="0" borderId="38" xfId="0" applyFont="1" applyBorder="1" applyAlignment="1">
      <alignment horizontal="left" indent="1"/>
    </xf>
    <xf numFmtId="0" fontId="2" fillId="0" borderId="38" xfId="0" applyFont="1" applyBorder="1" applyAlignment="1">
      <alignment horizontal="left" vertical="center" indent="1"/>
    </xf>
    <xf numFmtId="0" fontId="2" fillId="0" borderId="43" xfId="0" applyFont="1" applyBorder="1" applyAlignment="1">
      <alignment horizontal="left" vertical="center" indent="1"/>
    </xf>
    <xf numFmtId="0" fontId="2" fillId="5" borderId="40" xfId="0" applyFont="1" applyFill="1" applyBorder="1" applyAlignment="1">
      <alignment horizontal="right"/>
    </xf>
    <xf numFmtId="166" fontId="2" fillId="5" borderId="42" xfId="0" applyNumberFormat="1" applyFont="1" applyFill="1" applyBorder="1"/>
    <xf numFmtId="166" fontId="2" fillId="0" borderId="32" xfId="0" applyNumberFormat="1" applyFont="1" applyBorder="1"/>
    <xf numFmtId="166" fontId="0" fillId="0" borderId="8" xfId="1" applyNumberFormat="1" applyFont="1" applyBorder="1" applyAlignment="1">
      <alignment vertical="center"/>
    </xf>
    <xf numFmtId="166" fontId="0" fillId="0" borderId="9" xfId="1" applyNumberFormat="1" applyFont="1" applyBorder="1" applyAlignment="1">
      <alignment vertical="center"/>
    </xf>
    <xf numFmtId="166" fontId="0" fillId="0" borderId="10" xfId="1" applyNumberFormat="1" applyFont="1" applyBorder="1" applyAlignment="1">
      <alignment vertical="center"/>
    </xf>
    <xf numFmtId="166" fontId="2" fillId="5" borderId="17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38" xfId="0" applyBorder="1" applyAlignment="1">
      <alignment horizontal="left" indent="1"/>
    </xf>
    <xf numFmtId="0" fontId="0" fillId="0" borderId="43" xfId="0" applyBorder="1" applyAlignment="1">
      <alignment horizontal="left" indent="1"/>
    </xf>
    <xf numFmtId="0" fontId="2" fillId="5" borderId="40" xfId="0" applyFont="1" applyFill="1" applyBorder="1" applyAlignment="1">
      <alignment horizontal="left" indent="1"/>
    </xf>
    <xf numFmtId="0" fontId="2" fillId="0" borderId="2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0" fillId="0" borderId="14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10" fillId="2" borderId="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left" indent="1"/>
    </xf>
    <xf numFmtId="0" fontId="4" fillId="4" borderId="16" xfId="0" applyFont="1" applyFill="1" applyBorder="1" applyAlignment="1">
      <alignment horizontal="left" indent="1"/>
    </xf>
    <xf numFmtId="0" fontId="4" fillId="4" borderId="17" xfId="0" applyFont="1" applyFill="1" applyBorder="1" applyAlignment="1">
      <alignment horizontal="left" indent="1"/>
    </xf>
    <xf numFmtId="0" fontId="4" fillId="3" borderId="15" xfId="0" applyFont="1" applyFill="1" applyBorder="1" applyAlignment="1">
      <alignment horizontal="left" indent="1"/>
    </xf>
    <xf numFmtId="0" fontId="4" fillId="3" borderId="16" xfId="0" applyFont="1" applyFill="1" applyBorder="1" applyAlignment="1">
      <alignment horizontal="left" indent="1"/>
    </xf>
    <xf numFmtId="0" fontId="4" fillId="3" borderId="17" xfId="0" applyFont="1" applyFill="1" applyBorder="1" applyAlignment="1">
      <alignment horizontal="left" indent="1"/>
    </xf>
    <xf numFmtId="0" fontId="4" fillId="3" borderId="15" xfId="0" applyFont="1" applyFill="1" applyBorder="1" applyAlignment="1">
      <alignment horizontal="left" vertical="center" indent="1"/>
    </xf>
    <xf numFmtId="0" fontId="4" fillId="3" borderId="16" xfId="0" applyFont="1" applyFill="1" applyBorder="1" applyAlignment="1">
      <alignment horizontal="left" vertical="center" indent="1"/>
    </xf>
    <xf numFmtId="0" fontId="4" fillId="3" borderId="17" xfId="0" applyFont="1" applyFill="1" applyBorder="1" applyAlignment="1">
      <alignment horizontal="left" vertical="center" indent="1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588A7-9B76-4F91-A002-B1948AA22F61}">
  <dimension ref="B1:K47"/>
  <sheetViews>
    <sheetView showGridLines="0" tabSelected="1" topLeftCell="A3" zoomScaleNormal="100" workbookViewId="0">
      <selection activeCell="G5" sqref="G5"/>
    </sheetView>
  </sheetViews>
  <sheetFormatPr defaultColWidth="8.85546875" defaultRowHeight="15"/>
  <cols>
    <col min="1" max="1" width="3.85546875" customWidth="1"/>
    <col min="2" max="2" width="25.28515625" customWidth="1"/>
    <col min="3" max="3" width="13.85546875" style="1" customWidth="1"/>
    <col min="4" max="4" width="18.140625" customWidth="1"/>
    <col min="5" max="5" width="13.42578125" customWidth="1"/>
    <col min="6" max="6" width="15.85546875" customWidth="1"/>
    <col min="7" max="7" width="13.85546875" customWidth="1"/>
    <col min="8" max="8" width="20" customWidth="1"/>
    <col min="9" max="9" width="16.140625" customWidth="1"/>
    <col min="10" max="10" width="15.7109375" customWidth="1"/>
    <col min="11" max="11" width="11.85546875" customWidth="1"/>
  </cols>
  <sheetData>
    <row r="1" spans="2:9" ht="30" customHeight="1">
      <c r="B1" s="16" t="s">
        <v>71</v>
      </c>
      <c r="I1" s="114" t="s">
        <v>82</v>
      </c>
    </row>
    <row r="2" spans="2:9">
      <c r="B2" t="s">
        <v>52</v>
      </c>
    </row>
    <row r="3" spans="2:9">
      <c r="B3" t="s">
        <v>69</v>
      </c>
    </row>
    <row r="4" spans="2:9">
      <c r="B4" s="139" t="s">
        <v>48</v>
      </c>
    </row>
    <row r="5" spans="2:9">
      <c r="B5" s="2"/>
    </row>
    <row r="6" spans="2:9" ht="15.75" thickBot="1"/>
    <row r="7" spans="2:9" ht="20.100000000000001" customHeight="1" thickBot="1">
      <c r="B7" s="146" t="s">
        <v>72</v>
      </c>
      <c r="C7" s="147"/>
      <c r="D7" s="147"/>
      <c r="E7" s="147"/>
      <c r="F7" s="148"/>
      <c r="H7" s="152" t="s">
        <v>78</v>
      </c>
      <c r="I7" s="153"/>
    </row>
    <row r="8" spans="2:9" s="46" customFormat="1" ht="21.95" customHeight="1" thickBot="1">
      <c r="B8" s="134" t="s">
        <v>11</v>
      </c>
      <c r="C8" s="42" t="s">
        <v>12</v>
      </c>
      <c r="D8" s="43" t="s">
        <v>14</v>
      </c>
      <c r="E8" s="43" t="s">
        <v>13</v>
      </c>
      <c r="F8" s="44" t="s">
        <v>15</v>
      </c>
      <c r="G8" s="45"/>
      <c r="H8" s="120" t="s">
        <v>85</v>
      </c>
      <c r="I8" s="117">
        <f>$H$16</f>
        <v>0</v>
      </c>
    </row>
    <row r="9" spans="2:9" s="46" customFormat="1" ht="21" customHeight="1" thickBot="1">
      <c r="B9" s="134" t="s">
        <v>83</v>
      </c>
      <c r="C9" s="115">
        <v>0</v>
      </c>
      <c r="D9" s="116">
        <v>0</v>
      </c>
      <c r="E9" s="116">
        <v>0</v>
      </c>
      <c r="F9" s="130">
        <v>0</v>
      </c>
      <c r="H9" s="121" t="s">
        <v>86</v>
      </c>
      <c r="I9" s="118">
        <f>C28</f>
        <v>0</v>
      </c>
    </row>
    <row r="10" spans="2:9" ht="16.5" customHeight="1" thickBot="1">
      <c r="B10" s="136" t="s">
        <v>17</v>
      </c>
      <c r="C10" s="33">
        <v>190</v>
      </c>
      <c r="D10" s="10">
        <v>110</v>
      </c>
      <c r="E10" s="10">
        <v>105</v>
      </c>
      <c r="F10" s="11">
        <v>1</v>
      </c>
      <c r="H10" s="122" t="s">
        <v>92</v>
      </c>
      <c r="I10" s="119">
        <f>C35</f>
        <v>0</v>
      </c>
    </row>
    <row r="11" spans="2:9" ht="16.5" thickTop="1" thickBot="1">
      <c r="B11" s="137" t="s">
        <v>18</v>
      </c>
      <c r="C11" s="34">
        <v>50</v>
      </c>
      <c r="D11" s="4">
        <v>30</v>
      </c>
      <c r="E11" s="4">
        <v>30</v>
      </c>
      <c r="F11" s="7">
        <v>2</v>
      </c>
      <c r="H11" s="123" t="s">
        <v>79</v>
      </c>
      <c r="I11" s="124">
        <f>SUM(I8:I10)</f>
        <v>0</v>
      </c>
    </row>
    <row r="12" spans="2:9" ht="15.75" thickBot="1">
      <c r="B12" s="138" t="s">
        <v>19</v>
      </c>
      <c r="C12" s="35">
        <v>3</v>
      </c>
      <c r="D12" s="8">
        <v>3</v>
      </c>
      <c r="E12" s="8">
        <v>3</v>
      </c>
      <c r="F12" s="9">
        <v>1</v>
      </c>
    </row>
    <row r="13" spans="2:9" ht="24.95" customHeight="1" thickBot="1"/>
    <row r="14" spans="2:9" ht="20.100000000000001" customHeight="1" thickBot="1">
      <c r="B14" s="146" t="s">
        <v>89</v>
      </c>
      <c r="C14" s="147"/>
      <c r="D14" s="147"/>
      <c r="E14" s="147"/>
      <c r="F14" s="147"/>
      <c r="G14" s="147"/>
      <c r="H14" s="148"/>
    </row>
    <row r="15" spans="2:9" s="46" customFormat="1" ht="21.95" customHeight="1" thickBot="1">
      <c r="B15" s="134" t="s">
        <v>11</v>
      </c>
      <c r="C15" s="49" t="s">
        <v>12</v>
      </c>
      <c r="D15" s="43" t="s">
        <v>14</v>
      </c>
      <c r="E15" s="43" t="s">
        <v>13</v>
      </c>
      <c r="F15" s="43" t="s">
        <v>15</v>
      </c>
      <c r="G15" s="44" t="s">
        <v>31</v>
      </c>
      <c r="H15" s="73" t="s">
        <v>64</v>
      </c>
    </row>
    <row r="16" spans="2:9" s="46" customFormat="1" ht="21.95" customHeight="1" thickBot="1">
      <c r="B16" s="135" t="s">
        <v>90</v>
      </c>
      <c r="C16" s="126">
        <f>C9*$C$39</f>
        <v>0</v>
      </c>
      <c r="D16" s="127">
        <f>D9*$C$40</f>
        <v>0</v>
      </c>
      <c r="E16" s="127">
        <f>E9*$C$41</f>
        <v>0</v>
      </c>
      <c r="F16" s="127">
        <f>F9*$C$44</f>
        <v>0</v>
      </c>
      <c r="G16" s="128">
        <f>SUM(C9:F9)*$C$47*$C$46</f>
        <v>0</v>
      </c>
      <c r="H16" s="129">
        <f>SUM(C16:G16)</f>
        <v>0</v>
      </c>
    </row>
    <row r="17" spans="2:11">
      <c r="B17" s="136" t="s">
        <v>17</v>
      </c>
      <c r="C17" s="20">
        <f>C10*$C$39</f>
        <v>950</v>
      </c>
      <c r="D17" s="14">
        <f>D10*$C$40</f>
        <v>550</v>
      </c>
      <c r="E17" s="14">
        <f>E10*$C$41</f>
        <v>525</v>
      </c>
      <c r="F17" s="14">
        <f>F10*$C$44</f>
        <v>540</v>
      </c>
      <c r="G17" s="36">
        <f>SUM(C10:F10)*$C$47*$C$46</f>
        <v>5075</v>
      </c>
      <c r="H17" s="125">
        <f>SUM(C17:G17)</f>
        <v>7640</v>
      </c>
    </row>
    <row r="18" spans="2:11">
      <c r="B18" s="137" t="s">
        <v>18</v>
      </c>
      <c r="C18" s="20">
        <f>C11*$C$39</f>
        <v>250</v>
      </c>
      <c r="D18" s="14">
        <f>D11*$C$40</f>
        <v>150</v>
      </c>
      <c r="E18" s="14">
        <f>E11*$C$41</f>
        <v>150</v>
      </c>
      <c r="F18" s="14">
        <f>F11*$C$44</f>
        <v>1080</v>
      </c>
      <c r="G18" s="23">
        <f>SUM(C11:F11)*$C$47*$C$46</f>
        <v>1400.0000000000002</v>
      </c>
      <c r="H18" s="90">
        <f>SUM(C18:G18)</f>
        <v>3030</v>
      </c>
    </row>
    <row r="19" spans="2:11" ht="15.75" thickBot="1">
      <c r="B19" s="138" t="s">
        <v>19</v>
      </c>
      <c r="C19" s="21">
        <f>C12*$C$39</f>
        <v>15</v>
      </c>
      <c r="D19" s="22">
        <f>D12*$C$40</f>
        <v>15</v>
      </c>
      <c r="E19" s="22">
        <f>E12*$C$41</f>
        <v>15</v>
      </c>
      <c r="F19" s="22">
        <f>F12*$C$44</f>
        <v>540</v>
      </c>
      <c r="G19" s="24">
        <f>SUM(C12:F12)*$C$47*$C$46</f>
        <v>125</v>
      </c>
      <c r="H19" s="91">
        <f>SUM(C19:G19)</f>
        <v>710</v>
      </c>
    </row>
    <row r="20" spans="2:11" ht="24.95" customHeight="1" thickBot="1"/>
    <row r="21" spans="2:11" ht="19.5" thickBot="1">
      <c r="B21" s="143" t="s">
        <v>87</v>
      </c>
      <c r="C21" s="144"/>
      <c r="D21" s="144"/>
      <c r="E21" s="145"/>
    </row>
    <row r="22" spans="2:11">
      <c r="B22" s="53" t="s">
        <v>39</v>
      </c>
      <c r="C22" s="64">
        <f>14798</f>
        <v>14798</v>
      </c>
      <c r="D22" t="s">
        <v>40</v>
      </c>
      <c r="E22" s="52"/>
    </row>
    <row r="23" spans="2:11">
      <c r="B23" s="53" t="s">
        <v>56</v>
      </c>
      <c r="C23" s="65">
        <v>0</v>
      </c>
      <c r="D23" t="s">
        <v>57</v>
      </c>
      <c r="E23" s="52"/>
    </row>
    <row r="24" spans="2:11">
      <c r="B24" s="53" t="s">
        <v>20</v>
      </c>
      <c r="C24" s="66">
        <v>150</v>
      </c>
      <c r="D24" s="94" t="s">
        <v>59</v>
      </c>
      <c r="E24" s="52"/>
    </row>
    <row r="25" spans="2:11">
      <c r="B25" s="53" t="s">
        <v>49</v>
      </c>
      <c r="C25" s="64">
        <f>C23*$C$22</f>
        <v>0</v>
      </c>
      <c r="D25" t="s">
        <v>38</v>
      </c>
      <c r="E25" s="52"/>
    </row>
    <row r="26" spans="2:11">
      <c r="B26" s="53" t="s">
        <v>35</v>
      </c>
      <c r="C26" s="72">
        <f>C24/C22</f>
        <v>1.0136504933099068E-2</v>
      </c>
      <c r="D26" s="94" t="s">
        <v>58</v>
      </c>
      <c r="E26" s="52"/>
      <c r="J26" s="28"/>
    </row>
    <row r="27" spans="2:11" ht="15.75" thickBot="1">
      <c r="B27" s="68" t="s">
        <v>36</v>
      </c>
      <c r="C27" s="62">
        <v>0.95</v>
      </c>
      <c r="D27" s="29" t="s">
        <v>50</v>
      </c>
      <c r="E27" s="69"/>
      <c r="K27" s="27"/>
    </row>
    <row r="28" spans="2:11" ht="15.75" thickTop="1">
      <c r="B28" s="99" t="s">
        <v>37</v>
      </c>
      <c r="C28" s="100">
        <f>C25*C26*C27</f>
        <v>0</v>
      </c>
      <c r="D28" s="101" t="s">
        <v>60</v>
      </c>
      <c r="E28" s="104"/>
    </row>
    <row r="29" spans="2:11" ht="15.75" thickBot="1">
      <c r="B29" s="70" t="s">
        <v>46</v>
      </c>
      <c r="C29" s="71">
        <f>C25*C27/1000*1.98*300</f>
        <v>0</v>
      </c>
      <c r="D29" s="95" t="s">
        <v>45</v>
      </c>
      <c r="E29" s="57"/>
    </row>
    <row r="30" spans="2:11" ht="24.95" customHeight="1" thickBot="1"/>
    <row r="31" spans="2:11" ht="19.5" thickBot="1">
      <c r="B31" s="143" t="s">
        <v>88</v>
      </c>
      <c r="C31" s="144"/>
      <c r="D31" s="145"/>
    </row>
    <row r="32" spans="2:11">
      <c r="B32" s="149" t="s">
        <v>44</v>
      </c>
      <c r="C32" s="150"/>
      <c r="D32" s="151"/>
    </row>
    <row r="33" spans="2:4">
      <c r="B33" s="131" t="s">
        <v>62</v>
      </c>
      <c r="C33" s="65">
        <v>1</v>
      </c>
      <c r="D33" s="52" t="s">
        <v>84</v>
      </c>
    </row>
    <row r="34" spans="2:4" ht="15.75" thickBot="1">
      <c r="B34" s="132" t="s">
        <v>63</v>
      </c>
      <c r="C34" s="96">
        <v>0</v>
      </c>
      <c r="D34" s="69" t="s">
        <v>65</v>
      </c>
    </row>
    <row r="35" spans="2:4" ht="16.5" thickTop="1" thickBot="1">
      <c r="B35" s="133" t="s">
        <v>66</v>
      </c>
      <c r="C35" s="102">
        <f>C33*C34</f>
        <v>0</v>
      </c>
      <c r="D35" s="103" t="s">
        <v>60</v>
      </c>
    </row>
    <row r="36" spans="2:4" ht="24.95" customHeight="1" thickBot="1"/>
    <row r="37" spans="2:4" ht="19.5" thickBot="1">
      <c r="B37" s="140" t="s">
        <v>34</v>
      </c>
      <c r="C37" s="141"/>
      <c r="D37" s="142"/>
    </row>
    <row r="38" spans="2:4">
      <c r="B38" s="120" t="s">
        <v>22</v>
      </c>
      <c r="C38" s="51"/>
      <c r="D38" s="52"/>
    </row>
    <row r="39" spans="2:4">
      <c r="B39" s="53" t="s">
        <v>24</v>
      </c>
      <c r="C39" s="51">
        <v>5</v>
      </c>
      <c r="D39" s="52" t="s">
        <v>23</v>
      </c>
    </row>
    <row r="40" spans="2:4">
      <c r="B40" s="53" t="s">
        <v>14</v>
      </c>
      <c r="C40" s="51">
        <v>5</v>
      </c>
      <c r="D40" s="52" t="s">
        <v>23</v>
      </c>
    </row>
    <row r="41" spans="2:4" ht="15.75" thickBot="1">
      <c r="B41" s="55" t="s">
        <v>25</v>
      </c>
      <c r="C41" s="60">
        <v>5</v>
      </c>
      <c r="D41" s="57" t="s">
        <v>23</v>
      </c>
    </row>
    <row r="42" spans="2:4">
      <c r="B42" s="120" t="s">
        <v>26</v>
      </c>
      <c r="C42" s="51"/>
      <c r="D42" s="52"/>
    </row>
    <row r="43" spans="2:4">
      <c r="B43" s="53" t="s">
        <v>27</v>
      </c>
      <c r="C43" s="54">
        <f>3*900</f>
        <v>2700</v>
      </c>
      <c r="D43" s="52" t="s">
        <v>51</v>
      </c>
    </row>
    <row r="44" spans="2:4" ht="15.75" thickBot="1">
      <c r="B44" s="59"/>
      <c r="C44" s="61">
        <f>C43/5</f>
        <v>540</v>
      </c>
      <c r="D44" s="57" t="s">
        <v>28</v>
      </c>
    </row>
    <row r="45" spans="2:4">
      <c r="B45" s="120" t="s">
        <v>29</v>
      </c>
      <c r="C45" s="51"/>
      <c r="D45" s="52"/>
    </row>
    <row r="46" spans="2:4">
      <c r="B46" s="53" t="s">
        <v>31</v>
      </c>
      <c r="C46" s="54">
        <v>250</v>
      </c>
      <c r="D46" s="52" t="s">
        <v>32</v>
      </c>
    </row>
    <row r="47" spans="2:4" ht="15.75" thickBot="1">
      <c r="B47" s="55" t="s">
        <v>30</v>
      </c>
      <c r="C47" s="56">
        <v>0.05</v>
      </c>
      <c r="D47" s="57" t="s">
        <v>33</v>
      </c>
    </row>
  </sheetData>
  <mergeCells count="7">
    <mergeCell ref="B37:D37"/>
    <mergeCell ref="B21:E21"/>
    <mergeCell ref="B7:F7"/>
    <mergeCell ref="B14:H14"/>
    <mergeCell ref="B31:D31"/>
    <mergeCell ref="B32:D32"/>
    <mergeCell ref="H7:I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1"/>
  <sheetViews>
    <sheetView showGridLines="0" zoomScaleNormal="100" workbookViewId="0">
      <selection activeCell="J1" sqref="J1"/>
    </sheetView>
  </sheetViews>
  <sheetFormatPr defaultColWidth="8.85546875" defaultRowHeight="15"/>
  <cols>
    <col min="1" max="1" width="3.85546875" customWidth="1"/>
    <col min="2" max="2" width="26.7109375" customWidth="1"/>
    <col min="3" max="3" width="12.28515625" bestFit="1" customWidth="1"/>
    <col min="4" max="4" width="15.42578125" customWidth="1"/>
    <col min="5" max="5" width="14.42578125" customWidth="1"/>
    <col min="6" max="6" width="10.85546875" customWidth="1"/>
    <col min="7" max="7" width="13.42578125" customWidth="1"/>
    <col min="8" max="8" width="16.42578125" customWidth="1"/>
    <col min="9" max="9" width="17.85546875" customWidth="1"/>
    <col min="10" max="10" width="17.7109375" customWidth="1"/>
  </cols>
  <sheetData>
    <row r="1" spans="2:10" ht="30" customHeight="1">
      <c r="B1" s="16" t="s">
        <v>80</v>
      </c>
      <c r="J1" s="114" t="str">
        <f>'Current Annual Costs'!I1</f>
        <v>Ver. 2025-07-23</v>
      </c>
    </row>
    <row r="2" spans="2:10" ht="24.75" customHeight="1">
      <c r="B2" s="113" t="s">
        <v>81</v>
      </c>
    </row>
    <row r="3" spans="2:10">
      <c r="B3" t="s">
        <v>52</v>
      </c>
    </row>
    <row r="4" spans="2:10">
      <c r="B4" t="s">
        <v>68</v>
      </c>
    </row>
    <row r="5" spans="2:10">
      <c r="B5" s="139" t="s">
        <v>48</v>
      </c>
    </row>
    <row r="6" spans="2:10">
      <c r="B6" s="2"/>
    </row>
    <row r="7" spans="2:10" ht="15.75" thickBot="1"/>
    <row r="8" spans="2:10" ht="19.5" thickBot="1">
      <c r="B8" s="154" t="s">
        <v>77</v>
      </c>
      <c r="C8" s="155"/>
      <c r="D8" s="155"/>
      <c r="E8" s="155"/>
      <c r="F8" s="155"/>
      <c r="G8" s="155"/>
      <c r="H8" s="155"/>
      <c r="I8" s="156"/>
    </row>
    <row r="9" spans="2:10" s="45" customFormat="1" ht="33" customHeight="1" thickBot="1">
      <c r="B9" s="108" t="s">
        <v>11</v>
      </c>
      <c r="C9" s="109" t="s">
        <v>12</v>
      </c>
      <c r="D9" s="110" t="s">
        <v>14</v>
      </c>
      <c r="E9" s="110" t="s">
        <v>13</v>
      </c>
      <c r="F9" s="110" t="s">
        <v>15</v>
      </c>
      <c r="G9" s="107" t="s">
        <v>74</v>
      </c>
      <c r="H9" s="107" t="s">
        <v>41</v>
      </c>
      <c r="I9" s="111" t="s">
        <v>16</v>
      </c>
    </row>
    <row r="10" spans="2:10" s="46" customFormat="1" ht="21" customHeight="1">
      <c r="B10" s="93" t="s">
        <v>47</v>
      </c>
      <c r="C10" s="47">
        <v>0</v>
      </c>
      <c r="D10" s="48">
        <v>0</v>
      </c>
      <c r="E10" s="48">
        <v>0</v>
      </c>
      <c r="F10" s="48">
        <v>0</v>
      </c>
      <c r="G10" s="77">
        <v>0</v>
      </c>
      <c r="H10" s="77">
        <v>0</v>
      </c>
      <c r="I10" s="78">
        <v>0</v>
      </c>
    </row>
    <row r="11" spans="2:10" ht="6.95" customHeight="1">
      <c r="B11" s="39"/>
      <c r="C11" s="40"/>
      <c r="D11" s="40"/>
      <c r="E11" s="40"/>
      <c r="F11" s="40"/>
      <c r="G11" s="40"/>
      <c r="H11" s="40"/>
      <c r="I11" s="76"/>
    </row>
    <row r="12" spans="2:10">
      <c r="B12" s="15" t="s">
        <v>17</v>
      </c>
      <c r="C12" s="33">
        <v>190</v>
      </c>
      <c r="D12" s="10">
        <v>110</v>
      </c>
      <c r="E12" s="10">
        <v>105</v>
      </c>
      <c r="F12" s="10">
        <v>1</v>
      </c>
      <c r="G12" s="17">
        <v>8</v>
      </c>
      <c r="H12" s="17">
        <v>0</v>
      </c>
      <c r="I12" s="11">
        <v>3</v>
      </c>
    </row>
    <row r="13" spans="2:10">
      <c r="B13" s="12" t="s">
        <v>18</v>
      </c>
      <c r="C13" s="34">
        <v>50</v>
      </c>
      <c r="D13" s="4">
        <v>30</v>
      </c>
      <c r="E13" s="4">
        <v>30</v>
      </c>
      <c r="F13" s="4">
        <v>2</v>
      </c>
      <c r="G13" s="18">
        <v>2</v>
      </c>
      <c r="H13" s="18">
        <v>4</v>
      </c>
      <c r="I13" s="7">
        <v>0</v>
      </c>
    </row>
    <row r="14" spans="2:10" ht="15.75" thickBot="1">
      <c r="B14" s="13" t="s">
        <v>19</v>
      </c>
      <c r="C14" s="35">
        <v>3</v>
      </c>
      <c r="D14" s="8">
        <v>3</v>
      </c>
      <c r="E14" s="8">
        <v>3</v>
      </c>
      <c r="F14" s="8">
        <v>1</v>
      </c>
      <c r="G14" s="19">
        <v>1</v>
      </c>
      <c r="H14" s="19">
        <v>0</v>
      </c>
      <c r="I14" s="9">
        <v>0</v>
      </c>
    </row>
    <row r="15" spans="2:10" ht="15.75" thickBot="1"/>
    <row r="16" spans="2:10" ht="19.5" thickBot="1">
      <c r="B16" s="154" t="s">
        <v>70</v>
      </c>
      <c r="C16" s="155"/>
      <c r="D16" s="155"/>
      <c r="E16" s="155"/>
      <c r="F16" s="155"/>
      <c r="G16" s="155"/>
      <c r="H16" s="155"/>
      <c r="I16" s="155"/>
      <c r="J16" s="156"/>
    </row>
    <row r="17" spans="2:10" s="46" customFormat="1" ht="45.75" thickBot="1">
      <c r="B17" s="108" t="s">
        <v>11</v>
      </c>
      <c r="C17" s="109" t="s">
        <v>12</v>
      </c>
      <c r="D17" s="110" t="s">
        <v>14</v>
      </c>
      <c r="E17" s="110" t="s">
        <v>13</v>
      </c>
      <c r="F17" s="110" t="s">
        <v>15</v>
      </c>
      <c r="G17" s="107" t="s">
        <v>75</v>
      </c>
      <c r="H17" s="107" t="s">
        <v>41</v>
      </c>
      <c r="I17" s="111" t="s">
        <v>16</v>
      </c>
      <c r="J17" s="112" t="s">
        <v>21</v>
      </c>
    </row>
    <row r="18" spans="2:10" s="46" customFormat="1" ht="21" customHeight="1">
      <c r="B18" s="93" t="s">
        <v>76</v>
      </c>
      <c r="C18" s="79">
        <f>C10*($C$32+($C$27*$C$28/60))</f>
        <v>0</v>
      </c>
      <c r="D18" s="80">
        <f>D10*($C$31/60*$C$27)</f>
        <v>0</v>
      </c>
      <c r="E18" s="80">
        <f>E10*($C$29/60*$C$27)</f>
        <v>0</v>
      </c>
      <c r="F18" s="80">
        <f>F10*$C$30/60*$C$27</f>
        <v>0</v>
      </c>
      <c r="G18" s="106">
        <f>G10*($C$34+$C$35+$C$36)+(IF(G10=0,0,$C$37))</f>
        <v>0</v>
      </c>
      <c r="H18" s="106">
        <f>H10*$C$39</f>
        <v>0</v>
      </c>
      <c r="I18" s="81">
        <f>I10*$C$38</f>
        <v>0</v>
      </c>
      <c r="J18" s="105">
        <f>SUM(C18:I18)</f>
        <v>0</v>
      </c>
    </row>
    <row r="19" spans="2:10" ht="6.95" customHeight="1">
      <c r="B19" s="39"/>
      <c r="C19" s="41"/>
      <c r="D19" s="41"/>
      <c r="E19" s="41"/>
      <c r="F19" s="41"/>
      <c r="G19" s="75"/>
      <c r="H19" s="75"/>
      <c r="I19" s="41"/>
      <c r="J19" s="74"/>
    </row>
    <row r="20" spans="2:10">
      <c r="B20" s="15" t="s">
        <v>17</v>
      </c>
      <c r="C20" s="20">
        <f>C12*($C$32+($C$27*$C$28/60))</f>
        <v>9500</v>
      </c>
      <c r="D20" s="14">
        <f>D12*($C$31/60*$C$27)</f>
        <v>2200</v>
      </c>
      <c r="E20" s="14">
        <f>E12*($C$29/60*$C$27)</f>
        <v>1575</v>
      </c>
      <c r="F20" s="14">
        <f>F12*$C$30/60*$C$27</f>
        <v>180</v>
      </c>
      <c r="G20" s="30">
        <f>G12*($C$34+$C$35+$C$36)+(IF(G12=0,0,$C$37))</f>
        <v>3690</v>
      </c>
      <c r="H20" s="30">
        <f>H12*$C$39</f>
        <v>0</v>
      </c>
      <c r="I20" s="36">
        <f>I12*$C$38</f>
        <v>12900</v>
      </c>
      <c r="J20" s="97">
        <f>SUM(C20:I20)</f>
        <v>30045</v>
      </c>
    </row>
    <row r="21" spans="2:10">
      <c r="B21" s="12" t="s">
        <v>18</v>
      </c>
      <c r="C21" s="25">
        <f>C13*($C$32+($C$27*$C$28/60))</f>
        <v>2500</v>
      </c>
      <c r="D21" s="5">
        <f>D13*($C$31/60*$C$27)</f>
        <v>600</v>
      </c>
      <c r="E21" s="5">
        <f>E13*($C$29/60*$C$27)</f>
        <v>450</v>
      </c>
      <c r="F21" s="5">
        <f>F13*$C$30/60*$C$27</f>
        <v>360</v>
      </c>
      <c r="G21" s="31">
        <f>G13*($C$34+$C$35+$C$36)+(IF(G13=0,0,$C$37))</f>
        <v>1110</v>
      </c>
      <c r="H21" s="30">
        <f>H13*$C$39</f>
        <v>10000</v>
      </c>
      <c r="I21" s="23">
        <f>I13*$C$38</f>
        <v>0</v>
      </c>
      <c r="J21" s="97">
        <f>SUM(C21:I21)</f>
        <v>15020</v>
      </c>
    </row>
    <row r="22" spans="2:10" ht="15.75" thickBot="1">
      <c r="B22" s="13" t="s">
        <v>19</v>
      </c>
      <c r="C22" s="26">
        <f>C14*($C$32+($C$27*$C$28/60))</f>
        <v>150</v>
      </c>
      <c r="D22" s="6">
        <f>D14*($C$31/60*$C$27)</f>
        <v>60</v>
      </c>
      <c r="E22" s="6">
        <f>E14*($C$29/60*$C$27)</f>
        <v>45</v>
      </c>
      <c r="F22" s="6">
        <f>F14*$C$30/60*$C$27</f>
        <v>180</v>
      </c>
      <c r="G22" s="32">
        <f>G14*($C$34+$C$35+$C$36)+(IF(G14=0,0,$C$37))</f>
        <v>680</v>
      </c>
      <c r="H22" s="38">
        <f>H14*$C$39</f>
        <v>0</v>
      </c>
      <c r="I22" s="37">
        <f>I14*$C$38</f>
        <v>0</v>
      </c>
      <c r="J22" s="98">
        <f>SUM(C22:I22)</f>
        <v>1115</v>
      </c>
    </row>
    <row r="23" spans="2:10">
      <c r="C23" s="54"/>
      <c r="D23" s="54"/>
      <c r="E23" s="54"/>
      <c r="F23" s="54"/>
      <c r="G23" s="3"/>
      <c r="H23" s="3"/>
      <c r="I23" s="54"/>
      <c r="J23" s="92"/>
    </row>
    <row r="24" spans="2:10" ht="15.75" thickBot="1"/>
    <row r="25" spans="2:10" ht="19.5" thickBot="1">
      <c r="B25" s="157" t="s">
        <v>53</v>
      </c>
      <c r="C25" s="158"/>
      <c r="D25" s="159"/>
    </row>
    <row r="26" spans="2:10">
      <c r="B26" s="82" t="s">
        <v>54</v>
      </c>
      <c r="C26" s="63"/>
      <c r="D26" s="50"/>
    </row>
    <row r="27" spans="2:10">
      <c r="B27" s="53" t="s">
        <v>0</v>
      </c>
      <c r="C27" s="51">
        <v>60</v>
      </c>
      <c r="D27" s="67" t="s">
        <v>73</v>
      </c>
    </row>
    <row r="28" spans="2:10">
      <c r="B28" s="53" t="s">
        <v>1</v>
      </c>
      <c r="C28">
        <v>10</v>
      </c>
      <c r="D28" s="52" t="s">
        <v>2</v>
      </c>
    </row>
    <row r="29" spans="2:10">
      <c r="B29" s="53" t="s">
        <v>91</v>
      </c>
      <c r="C29">
        <v>15</v>
      </c>
      <c r="D29" s="52" t="s">
        <v>3</v>
      </c>
    </row>
    <row r="30" spans="2:10">
      <c r="B30" s="53" t="s">
        <v>67</v>
      </c>
      <c r="C30">
        <v>180</v>
      </c>
      <c r="D30" s="52" t="s">
        <v>3</v>
      </c>
    </row>
    <row r="31" spans="2:10">
      <c r="B31" s="53" t="s">
        <v>4</v>
      </c>
      <c r="C31">
        <v>20</v>
      </c>
      <c r="D31" s="52" t="s">
        <v>3</v>
      </c>
    </row>
    <row r="32" spans="2:10" ht="15.75" thickBot="1">
      <c r="B32" s="55" t="s">
        <v>5</v>
      </c>
      <c r="C32" s="60">
        <v>40</v>
      </c>
      <c r="D32" s="86" t="s">
        <v>6</v>
      </c>
    </row>
    <row r="33" spans="2:4">
      <c r="B33" s="82" t="s">
        <v>55</v>
      </c>
      <c r="C33" s="63"/>
      <c r="D33" s="50"/>
    </row>
    <row r="34" spans="2:4">
      <c r="B34" s="83" t="s">
        <v>7</v>
      </c>
      <c r="C34" s="3">
        <v>80</v>
      </c>
      <c r="D34" s="67" t="s">
        <v>23</v>
      </c>
    </row>
    <row r="35" spans="2:4">
      <c r="B35" s="83" t="s">
        <v>8</v>
      </c>
      <c r="C35" s="3">
        <v>250</v>
      </c>
      <c r="D35" s="52" t="s">
        <v>23</v>
      </c>
    </row>
    <row r="36" spans="2:4">
      <c r="B36" s="83" t="s">
        <v>9</v>
      </c>
      <c r="C36" s="3">
        <v>100</v>
      </c>
      <c r="D36" s="52" t="s">
        <v>23</v>
      </c>
    </row>
    <row r="37" spans="2:4" ht="15.75" thickBot="1">
      <c r="B37" s="87" t="s">
        <v>10</v>
      </c>
      <c r="C37" s="85">
        <v>250</v>
      </c>
      <c r="D37" s="57" t="s">
        <v>23</v>
      </c>
    </row>
    <row r="38" spans="2:4" ht="15.75" thickBot="1">
      <c r="B38" s="88" t="s">
        <v>61</v>
      </c>
      <c r="C38" s="89">
        <v>4300</v>
      </c>
      <c r="D38" s="58" t="s">
        <v>43</v>
      </c>
    </row>
    <row r="39" spans="2:4" ht="15.75" thickBot="1">
      <c r="B39" s="84" t="s">
        <v>42</v>
      </c>
      <c r="C39" s="85">
        <v>2500</v>
      </c>
      <c r="D39" s="57" t="s">
        <v>43</v>
      </c>
    </row>
    <row r="40" spans="2:4">
      <c r="B40" s="2"/>
    </row>
    <row r="41" spans="2:4">
      <c r="B41" s="3"/>
    </row>
  </sheetData>
  <mergeCells count="3">
    <mergeCell ref="B8:I8"/>
    <mergeCell ref="B16:J16"/>
    <mergeCell ref="B25:D25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b7dfc-cd00-4a36-a08b-5e6ec49a68bc">
      <Terms xmlns="http://schemas.microsoft.com/office/infopath/2007/PartnerControls"/>
    </lcf76f155ced4ddcb4097134ff3c332f>
    <TaxCatchAll xmlns="48660996-10e5-4777-b884-d6caa03081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4E039219BC54DA108F6BFBA7B2189" ma:contentTypeVersion="16" ma:contentTypeDescription="Create a new document." ma:contentTypeScope="" ma:versionID="17ad7e6d1ba9904b4ae4be136bedae8b">
  <xsd:schema xmlns:xsd="http://www.w3.org/2001/XMLSchema" xmlns:xs="http://www.w3.org/2001/XMLSchema" xmlns:p="http://schemas.microsoft.com/office/2006/metadata/properties" xmlns:ns2="8e2b7dfc-cd00-4a36-a08b-5e6ec49a68bc" xmlns:ns3="48660996-10e5-4777-b884-d6caa0308192" targetNamespace="http://schemas.microsoft.com/office/2006/metadata/properties" ma:root="true" ma:fieldsID="976fbc613582e38fd92617b2723a2590" ns2:_="" ns3:_="">
    <xsd:import namespace="8e2b7dfc-cd00-4a36-a08b-5e6ec49a68bc"/>
    <xsd:import namespace="48660996-10e5-4777-b884-d6caa03081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b7dfc-cd00-4a36-a08b-5e6ec49a6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fa3ad2-6465-4f04-938c-ef9d54554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60996-10e5-4777-b884-d6caa03081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f9090e-6d67-4fa4-bde6-1ca5f8b53259}" ma:internalName="TaxCatchAll" ma:showField="CatchAllData" ma:web="48660996-10e5-4777-b884-d6caa03081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B065D7-8EF0-46A8-BAD5-67C7830EFAF4}">
  <ds:schemaRefs>
    <ds:schemaRef ds:uri="http://schemas.microsoft.com/office/2006/metadata/properties"/>
    <ds:schemaRef ds:uri="http://schemas.microsoft.com/office/infopath/2007/PartnerControls"/>
    <ds:schemaRef ds:uri="8e2b7dfc-cd00-4a36-a08b-5e6ec49a68bc"/>
    <ds:schemaRef ds:uri="48660996-10e5-4777-b884-d6caa0308192"/>
  </ds:schemaRefs>
</ds:datastoreItem>
</file>

<file path=customXml/itemProps2.xml><?xml version="1.0" encoding="utf-8"?>
<ds:datastoreItem xmlns:ds="http://schemas.openxmlformats.org/officeDocument/2006/customXml" ds:itemID="{6E5E0B9F-95A6-4478-8CEC-67C14B662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b7dfc-cd00-4a36-a08b-5e6ec49a68bc"/>
    <ds:schemaRef ds:uri="48660996-10e5-4777-b884-d6caa0308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075FF8-D095-40B8-9FDD-3572F0420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Annual Costs</vt:lpstr>
      <vt:lpstr>Decommissioning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Apostol</dc:creator>
  <cp:keywords/>
  <dc:description/>
  <cp:lastModifiedBy>Mike Apostol</cp:lastModifiedBy>
  <cp:revision/>
  <dcterms:created xsi:type="dcterms:W3CDTF">2015-06-05T18:17:20Z</dcterms:created>
  <dcterms:modified xsi:type="dcterms:W3CDTF">2025-07-23T14:32:40Z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0x01010015A4E039219BC54DA108F6BFBA7B2189</vt:lpwstr>
  </property>
</Properties>
</file>